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oveable Caterpillar" sheetId="1" r:id="rId1"/>
  </sheets>
  <definedNames>
    <definedName name="_xlnm.Print_Area" localSheetId="0">'Moveable Caterpillar'!$A$4:$I$46</definedName>
  </definedNames>
  <calcPr fullCalcOnLoad="1"/>
</workbook>
</file>

<file path=xl/sharedStrings.xml><?xml version="1.0" encoding="utf-8"?>
<sst xmlns="http://schemas.openxmlformats.org/spreadsheetml/2006/main" count="126" uniqueCount="63">
  <si>
    <t>Width</t>
  </si>
  <si>
    <t>Qty</t>
  </si>
  <si>
    <t>Description</t>
  </si>
  <si>
    <t>Price</t>
  </si>
  <si>
    <t>Ext</t>
  </si>
  <si>
    <t>Total Cost</t>
  </si>
  <si>
    <t>Source</t>
  </si>
  <si>
    <t>10 ft length of 1-3/8" fence top rail for bows</t>
  </si>
  <si>
    <t># Bows</t>
  </si>
  <si>
    <t># Segments</t>
  </si>
  <si>
    <t>10 ft length of 1-3/8" fence top rail for ridge pole</t>
  </si>
  <si>
    <t># Purlins</t>
  </si>
  <si>
    <t>Unit</t>
  </si>
  <si>
    <t>each</t>
  </si>
  <si>
    <t>feet</t>
  </si>
  <si>
    <t>Part#</t>
  </si>
  <si>
    <t>Johnny's Selected Seeds</t>
  </si>
  <si>
    <t>Cross Connector for 1.315" x 1.315" Pipe, pkg of 2</t>
  </si>
  <si>
    <t>Local home improvement store</t>
  </si>
  <si>
    <t>*</t>
  </si>
  <si>
    <t>www.boltdepot.com</t>
  </si>
  <si>
    <t>* Estimations. Prices will vary and do not include shipping costs or tax.</t>
  </si>
  <si>
    <t>www.parachute-cord.com</t>
  </si>
  <si>
    <t>1000 ft. spool of white parachute cord for lacing</t>
  </si>
  <si>
    <t>Dimensions, Spec's</t>
  </si>
  <si>
    <t>Length</t>
  </si>
  <si>
    <t>Spacing</t>
  </si>
  <si>
    <t>Cord length***</t>
  </si>
  <si>
    <t>*** Estimated parachute cord length includes 10 feet extra to tie plastic at each end of the tunnel.</t>
  </si>
  <si>
    <t>**** Length must be evenly divisible by spacing so that the # segments is a simple integer value (e.g.: 9 segments, not 9.3 segments).</t>
  </si>
  <si>
    <t>Must be an integer (no fractional component).****</t>
  </si>
  <si>
    <t>bows</t>
  </si>
  <si>
    <r>
      <t>***</t>
    </r>
    <r>
      <rPr>
        <b/>
        <u val="double"/>
        <sz val="11"/>
        <color indexed="10"/>
        <rFont val="Calibri"/>
        <family val="2"/>
      </rPr>
      <t xml:space="preserve">Change the items in </t>
    </r>
    <r>
      <rPr>
        <b/>
        <u val="double"/>
        <sz val="11"/>
        <color indexed="10"/>
        <rFont val="Calibri"/>
        <family val="2"/>
      </rPr>
      <t>red</t>
    </r>
    <r>
      <rPr>
        <b/>
        <sz val="11"/>
        <color indexed="8"/>
        <rFont val="Calibri"/>
        <family val="2"/>
      </rPr>
      <t xml:space="preserve"> below to meet your needs and the calculator will do the rest.***</t>
    </r>
  </si>
  <si>
    <t>5" Galvanized Pipe Track Roller Wheel</t>
  </si>
  <si>
    <t>10 ft length of 1-3/8" fence top rail for bottom purlins</t>
  </si>
  <si>
    <t>10 ft length of 1-3/8" fence top rail for bottom rails</t>
  </si>
  <si>
    <t>10 ft length of 1-3/8" fence top rail for top purlins</t>
  </si>
  <si>
    <t>T-post anchor for plastic</t>
  </si>
  <si>
    <t>10 ft length of 1-3/8" fence top rail for angular bracing</t>
  </si>
  <si>
    <t>** Must have a minimum of 2" of threads. The size spec'd has 2.5".</t>
  </si>
  <si>
    <t>#6 x 1/2" self-tapping screws, box of 100</t>
  </si>
  <si>
    <t>5/16"-18 x 5" J-bolt for lacing connection**</t>
  </si>
  <si>
    <t>5/16"-18 hex nut</t>
  </si>
  <si>
    <t>5/16" lock washers</t>
  </si>
  <si>
    <t>5/16"-18 (1-3/8 x 2-1/2) U-bolt to secure bow to anchor</t>
  </si>
  <si>
    <t>Tunnel Square Feet</t>
  </si>
  <si>
    <t>Tunnel Cost / Sq. Ft.</t>
  </si>
  <si>
    <t>Total Plot Cost / Sq. Ft.</t>
  </si>
  <si>
    <t>Total Plot Square Feet</t>
  </si>
  <si>
    <t>10 ft length of 3/4" EMT for collar ties</t>
  </si>
  <si>
    <t>10 ft length of 3/4" EMT for end wall ties</t>
  </si>
  <si>
    <t>3 ft. U-post anchor for bows</t>
  </si>
  <si>
    <t># Positions</t>
  </si>
  <si>
    <t>1-3/8" chain link tension band</t>
  </si>
  <si>
    <t>Moveable Caterpillar Tunnel Calculator</t>
  </si>
  <si>
    <t>Quick Hoops Moveable Caterpillar Tunnel Bender</t>
  </si>
  <si>
    <t>1/4"-20 x 1" carriage bolt for tension band</t>
  </si>
  <si>
    <t>1/4" nuts for carriage bolts.</t>
  </si>
  <si>
    <t>(At least two, up to four.)</t>
  </si>
  <si>
    <t>Rail length</t>
  </si>
  <si>
    <t>purlins, plus the ridge pole.</t>
  </si>
  <si>
    <t>Pro-5 Weed Barrier, 4 x 250 ft. for under bottom rails</t>
  </si>
  <si>
    <t>feet. This leaves room for gathering plastic at tunnel ends.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</si>
</sst>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doub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 indent="1"/>
    </xf>
    <xf numFmtId="164" fontId="0" fillId="0" borderId="10" xfId="0" applyNumberFormat="1" applyBorder="1" applyAlignment="1">
      <alignment horizontal="right" vertical="center" indent="1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64" fontId="45" fillId="0" borderId="0" xfId="0" applyNumberFormat="1" applyFont="1" applyAlignment="1">
      <alignment horizontal="right" vertical="center" indent="1"/>
    </xf>
    <xf numFmtId="165" fontId="45" fillId="0" borderId="10" xfId="0" applyNumberFormat="1" applyFont="1" applyBorder="1" applyAlignment="1">
      <alignment horizontal="right" vertical="center" inden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1" fontId="4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indent="34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" fontId="46" fillId="0" borderId="0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right" vertical="center" indent="2"/>
    </xf>
    <xf numFmtId="0" fontId="47" fillId="0" borderId="0" xfId="0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right" vertical="center" indent="3"/>
    </xf>
    <xf numFmtId="7" fontId="46" fillId="0" borderId="0" xfId="44" applyNumberFormat="1" applyFont="1" applyBorder="1" applyAlignment="1">
      <alignment horizontal="right" vertical="center" indent="2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53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>
      <alignment horizontal="left" vertical="center" indent="1"/>
    </xf>
    <xf numFmtId="1" fontId="30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164" fontId="30" fillId="33" borderId="10" xfId="0" applyNumberFormat="1" applyFont="1" applyFill="1" applyBorder="1" applyAlignment="1">
      <alignment horizontal="center" vertical="center"/>
    </xf>
    <xf numFmtId="1" fontId="43" fillId="10" borderId="10" xfId="0" applyNumberFormat="1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left" vertical="center" indent="1"/>
    </xf>
    <xf numFmtId="164" fontId="43" fillId="10" borderId="10" xfId="0" applyNumberFormat="1" applyFont="1" applyFill="1" applyBorder="1" applyAlignment="1">
      <alignment horizontal="right" vertical="center" indent="1"/>
    </xf>
    <xf numFmtId="0" fontId="43" fillId="10" borderId="10" xfId="0" applyFont="1" applyFill="1" applyBorder="1" applyAlignment="1">
      <alignment horizontal="left" vertical="center" wrapText="1" indent="1"/>
    </xf>
    <xf numFmtId="44" fontId="43" fillId="10" borderId="10" xfId="44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 indent="1"/>
    </xf>
    <xf numFmtId="1" fontId="4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1" fontId="46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1" fontId="3" fillId="0" borderId="11" xfId="53" applyNumberFormat="1" applyFont="1" applyBorder="1" applyAlignment="1" applyProtection="1">
      <alignment horizontal="center" vertical="center"/>
      <protection/>
    </xf>
    <xf numFmtId="1" fontId="3" fillId="0" borderId="12" xfId="53" applyNumberFormat="1" applyFont="1" applyBorder="1" applyAlignment="1" applyProtection="1">
      <alignment horizontal="center" vertical="center"/>
      <protection/>
    </xf>
    <xf numFmtId="1" fontId="0" fillId="0" borderId="0" xfId="0" applyNumberForma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43" fillId="10" borderId="11" xfId="0" applyNumberFormat="1" applyFont="1" applyFill="1" applyBorder="1" applyAlignment="1">
      <alignment horizontal="center" vertical="center"/>
    </xf>
    <xf numFmtId="1" fontId="43" fillId="10" borderId="12" xfId="0" applyNumberFormat="1" applyFont="1" applyFill="1" applyBorder="1" applyAlignment="1">
      <alignment horizontal="center" vertical="center"/>
    </xf>
    <xf numFmtId="2" fontId="46" fillId="0" borderId="0" xfId="0" applyNumberFormat="1" applyFont="1" applyBorder="1" applyAlignment="1">
      <alignment horizontal="left" vertical="center" indent="1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104775</xdr:rowOff>
    </xdr:from>
    <xdr:to>
      <xdr:col>4</xdr:col>
      <xdr:colOff>38100</xdr:colOff>
      <xdr:row>13</xdr:row>
      <xdr:rowOff>104775</xdr:rowOff>
    </xdr:to>
    <xdr:sp>
      <xdr:nvSpPr>
        <xdr:cNvPr id="1" name="Straight Arrow Connector 1"/>
        <xdr:cNvSpPr>
          <a:spLocks/>
        </xdr:cNvSpPr>
      </xdr:nvSpPr>
      <xdr:spPr>
        <a:xfrm rot="10800000">
          <a:off x="1485900" y="334327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1571625</xdr:colOff>
      <xdr:row>1</xdr:row>
      <xdr:rowOff>19050</xdr:rowOff>
    </xdr:from>
    <xdr:to>
      <xdr:col>5</xdr:col>
      <xdr:colOff>962025</xdr:colOff>
      <xdr:row>2</xdr:row>
      <xdr:rowOff>104775</xdr:rowOff>
    </xdr:to>
    <xdr:pic>
      <xdr:nvPicPr>
        <xdr:cNvPr id="2" name="Picture 3" descr="JSSlogoURL_2-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09550"/>
          <a:ext cx="2114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tdepot.com/" TargetMode="External" /><Relationship Id="rId2" Type="http://schemas.openxmlformats.org/officeDocument/2006/relationships/hyperlink" Target="http://www.boltdepot.com/product.aspx?cc=11&amp;cs=50&amp;cm=7&amp;cd=570" TargetMode="External" /><Relationship Id="rId3" Type="http://schemas.openxmlformats.org/officeDocument/2006/relationships/hyperlink" Target="http://www.boltdepot.com/product.aspx?cc=7&amp;cs=9&amp;cm=7" TargetMode="External" /><Relationship Id="rId4" Type="http://schemas.openxmlformats.org/officeDocument/2006/relationships/hyperlink" Target="http://www.boltdepot.com/product.aspx?cc=47&amp;cm=7&amp;cd=49" TargetMode="External" /><Relationship Id="rId5" Type="http://schemas.openxmlformats.org/officeDocument/2006/relationships/hyperlink" Target="http://www.boltdepot.com/product.aspx?cc=12&amp;cs=65&amp;cm=7" TargetMode="External" /><Relationship Id="rId6" Type="http://schemas.openxmlformats.org/officeDocument/2006/relationships/hyperlink" Target="http://www.boltdepot.com/" TargetMode="External" /><Relationship Id="rId7" Type="http://schemas.openxmlformats.org/officeDocument/2006/relationships/hyperlink" Target="http://www.boltdepot.com/" TargetMode="External" /><Relationship Id="rId8" Type="http://schemas.openxmlformats.org/officeDocument/2006/relationships/hyperlink" Target="http://www.boltdepot.com/" TargetMode="External" /><Relationship Id="rId9" Type="http://schemas.openxmlformats.org/officeDocument/2006/relationships/hyperlink" Target="http://www.parachute-cord.com/" TargetMode="External" /><Relationship Id="rId10" Type="http://schemas.openxmlformats.org/officeDocument/2006/relationships/hyperlink" Target="http://www.boltdepot.com/product.aspx?cc=12&amp;cs=65&amp;cm=7" TargetMode="External" /><Relationship Id="rId11" Type="http://schemas.openxmlformats.org/officeDocument/2006/relationships/hyperlink" Target="http://www.boltdepot.com/" TargetMode="External" /><Relationship Id="rId12" Type="http://schemas.openxmlformats.org/officeDocument/2006/relationships/hyperlink" Target="http://www.boltdepot.com/Product-Details.aspx?product=2750" TargetMode="External" /><Relationship Id="rId13" Type="http://schemas.openxmlformats.org/officeDocument/2006/relationships/hyperlink" Target="http://www.boltdepot.com/Product-Details.aspx?Units=US&amp;Category=Nuts&amp;Subcategory=Hex_nuts&amp;Material=Steel&amp;Plating=Zinc&amp;Grade=&amp;Finish=&amp;Thread_direction=Right_hand&amp;Thread_density=Coarse&amp;Diameter=1%2f4%22&amp;Thread_count=20&amp;nv=rel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showGridLines="0" tabSelected="1" workbookViewId="0" topLeftCell="A14">
      <selection activeCell="G29" sqref="G29"/>
    </sheetView>
  </sheetViews>
  <sheetFormatPr defaultColWidth="9.140625" defaultRowHeight="15"/>
  <cols>
    <col min="1" max="2" width="7.8515625" style="41" customWidth="1"/>
    <col min="3" max="3" width="6.57421875" style="41" customWidth="1"/>
    <col min="4" max="4" width="4.8515625" style="5" customWidth="1"/>
    <col min="5" max="5" width="40.8515625" style="5" customWidth="1"/>
    <col min="6" max="6" width="50.8515625" style="5" customWidth="1"/>
    <col min="7" max="7" width="9.57421875" style="9" customWidth="1"/>
    <col min="8" max="8" width="13.7109375" style="9" customWidth="1"/>
    <col min="9" max="9" width="2.7109375" style="5" customWidth="1"/>
    <col min="10" max="10" width="9.57421875" style="5" customWidth="1"/>
    <col min="11" max="11" width="8.57421875" style="6" customWidth="1"/>
    <col min="12" max="16384" width="9.140625" style="5" customWidth="1"/>
  </cols>
  <sheetData>
    <row r="2" spans="1:8" ht="47.25" customHeight="1">
      <c r="A2" s="53"/>
      <c r="B2" s="53"/>
      <c r="C2" s="53"/>
      <c r="D2" s="53"/>
      <c r="E2" s="53"/>
      <c r="F2" s="53"/>
      <c r="G2" s="53"/>
      <c r="H2" s="53"/>
    </row>
    <row r="3" ht="24" customHeight="1"/>
    <row r="4" spans="1:11" s="1" customFormat="1" ht="28.5">
      <c r="A4" s="54" t="s">
        <v>54</v>
      </c>
      <c r="B4" s="54"/>
      <c r="C4" s="54"/>
      <c r="D4" s="54"/>
      <c r="E4" s="54"/>
      <c r="F4" s="54"/>
      <c r="G4" s="54"/>
      <c r="H4" s="54"/>
      <c r="J4" s="12"/>
      <c r="K4" s="13"/>
    </row>
    <row r="5" spans="1:11" s="1" customFormat="1" ht="15">
      <c r="A5" s="55" t="s">
        <v>32</v>
      </c>
      <c r="B5" s="55"/>
      <c r="C5" s="55"/>
      <c r="D5" s="55"/>
      <c r="E5" s="55"/>
      <c r="F5" s="55"/>
      <c r="G5" s="55"/>
      <c r="H5" s="55"/>
      <c r="J5" s="12"/>
      <c r="K5" s="13"/>
    </row>
    <row r="6" spans="1:11" s="1" customFormat="1" ht="15">
      <c r="A6" s="42"/>
      <c r="B6" s="42"/>
      <c r="C6" s="42"/>
      <c r="D6" s="42"/>
      <c r="E6" s="42"/>
      <c r="F6" s="42"/>
      <c r="G6" s="42"/>
      <c r="H6" s="42"/>
      <c r="J6" s="12"/>
      <c r="K6" s="13"/>
    </row>
    <row r="7" spans="1:11" s="44" customFormat="1" ht="15.75">
      <c r="A7" s="56" t="s">
        <v>24</v>
      </c>
      <c r="B7" s="56"/>
      <c r="C7" s="56"/>
      <c r="D7" s="56"/>
      <c r="G7" s="16"/>
      <c r="H7" s="16"/>
      <c r="J7" s="17"/>
      <c r="K7" s="16"/>
    </row>
    <row r="8" spans="1:11" s="44" customFormat="1" ht="15.75">
      <c r="A8" s="57" t="s">
        <v>25</v>
      </c>
      <c r="B8" s="57"/>
      <c r="C8" s="18">
        <v>24</v>
      </c>
      <c r="D8" s="43" t="s">
        <v>14</v>
      </c>
      <c r="F8" s="19"/>
      <c r="G8" s="17" t="s">
        <v>45</v>
      </c>
      <c r="H8" s="25">
        <f>C8*C13</f>
        <v>288</v>
      </c>
      <c r="J8" s="17"/>
      <c r="K8" s="16"/>
    </row>
    <row r="9" spans="1:11" s="44" customFormat="1" ht="15.75">
      <c r="A9" s="58" t="s">
        <v>26</v>
      </c>
      <c r="B9" s="58"/>
      <c r="C9" s="20">
        <v>4</v>
      </c>
      <c r="D9" s="21" t="s">
        <v>14</v>
      </c>
      <c r="F9" s="19"/>
      <c r="G9" s="17" t="s">
        <v>46</v>
      </c>
      <c r="H9" s="26">
        <f>H43/H8</f>
        <v>3.9283854166666674</v>
      </c>
      <c r="J9" s="17"/>
      <c r="K9" s="16"/>
    </row>
    <row r="10" spans="1:11" s="44" customFormat="1" ht="15.75">
      <c r="A10" s="50" t="s">
        <v>11</v>
      </c>
      <c r="B10" s="50"/>
      <c r="C10" s="24">
        <v>0</v>
      </c>
      <c r="D10" s="48" t="s">
        <v>60</v>
      </c>
      <c r="F10" s="19"/>
      <c r="H10" s="23"/>
      <c r="J10" s="17"/>
      <c r="K10" s="16"/>
    </row>
    <row r="11" spans="1:11" s="47" customFormat="1" ht="15.75">
      <c r="A11" s="50" t="s">
        <v>52</v>
      </c>
      <c r="B11" s="50"/>
      <c r="C11" s="24">
        <v>2</v>
      </c>
      <c r="D11" s="48" t="s">
        <v>58</v>
      </c>
      <c r="F11" s="19"/>
      <c r="H11" s="23"/>
      <c r="J11" s="17"/>
      <c r="K11" s="16"/>
    </row>
    <row r="12" spans="1:11" s="49" customFormat="1" ht="15.75">
      <c r="A12" s="48" t="s">
        <v>59</v>
      </c>
      <c r="B12" s="48"/>
      <c r="C12" s="24">
        <f>C11*(C8+10)-10</f>
        <v>58</v>
      </c>
      <c r="D12" s="48" t="s">
        <v>62</v>
      </c>
      <c r="F12" s="19"/>
      <c r="H12" s="23"/>
      <c r="J12" s="17"/>
      <c r="K12" s="16"/>
    </row>
    <row r="13" spans="1:11" s="44" customFormat="1" ht="15.75">
      <c r="A13" s="57" t="s">
        <v>0</v>
      </c>
      <c r="B13" s="57"/>
      <c r="C13" s="22">
        <v>12</v>
      </c>
      <c r="D13" s="43" t="s">
        <v>14</v>
      </c>
      <c r="F13" s="19"/>
      <c r="G13" s="17" t="s">
        <v>48</v>
      </c>
      <c r="H13" s="25">
        <f>H8*2</f>
        <v>576</v>
      </c>
      <c r="J13" s="17"/>
      <c r="K13" s="16"/>
    </row>
    <row r="14" spans="1:11" s="44" customFormat="1" ht="15.75">
      <c r="A14" s="50" t="s">
        <v>9</v>
      </c>
      <c r="B14" s="50"/>
      <c r="C14" s="63">
        <f>C8/C9</f>
        <v>6</v>
      </c>
      <c r="D14" s="63"/>
      <c r="E14" s="39" t="s">
        <v>30</v>
      </c>
      <c r="F14" s="19"/>
      <c r="G14" s="17" t="s">
        <v>47</v>
      </c>
      <c r="H14" s="26">
        <f>H9/2</f>
        <v>1.9641927083333337</v>
      </c>
      <c r="J14" s="17"/>
      <c r="K14" s="16"/>
    </row>
    <row r="15" spans="1:11" s="44" customFormat="1" ht="15.75">
      <c r="A15" s="50" t="s">
        <v>8</v>
      </c>
      <c r="B15" s="50"/>
      <c r="C15" s="16">
        <f>C14+1</f>
        <v>7</v>
      </c>
      <c r="D15" s="45" t="s">
        <v>31</v>
      </c>
      <c r="F15" s="19"/>
      <c r="H15" s="23"/>
      <c r="J15" s="17"/>
      <c r="K15" s="16"/>
    </row>
    <row r="16" spans="1:11" s="44" customFormat="1" ht="15.75">
      <c r="A16" s="45" t="s">
        <v>27</v>
      </c>
      <c r="B16" s="45"/>
      <c r="C16" s="16">
        <f>ROUNDUP((POWER((POWER(C9,2)+POWER(C14,2)),0.5)*2*C14+20),0)</f>
        <v>107</v>
      </c>
      <c r="D16" s="45" t="s">
        <v>14</v>
      </c>
      <c r="F16" s="19"/>
      <c r="H16" s="23"/>
      <c r="J16" s="17"/>
      <c r="K16" s="16"/>
    </row>
    <row r="17" spans="1:11" s="1" customFormat="1" ht="15">
      <c r="A17" s="42"/>
      <c r="B17" s="42"/>
      <c r="C17" s="42"/>
      <c r="G17" s="2"/>
      <c r="H17" s="2"/>
      <c r="K17" s="3"/>
    </row>
    <row r="18" spans="1:8" s="3" customFormat="1" ht="15">
      <c r="A18" s="31" t="s">
        <v>1</v>
      </c>
      <c r="B18" s="31" t="s">
        <v>12</v>
      </c>
      <c r="C18" s="64" t="s">
        <v>15</v>
      </c>
      <c r="D18" s="65"/>
      <c r="E18" s="32" t="s">
        <v>6</v>
      </c>
      <c r="F18" s="32" t="s">
        <v>2</v>
      </c>
      <c r="G18" s="33" t="s">
        <v>3</v>
      </c>
      <c r="H18" s="33" t="s">
        <v>4</v>
      </c>
    </row>
    <row r="19" spans="1:11" ht="15">
      <c r="A19" s="34">
        <v>1</v>
      </c>
      <c r="B19" s="34" t="s">
        <v>13</v>
      </c>
      <c r="C19" s="61">
        <v>7000</v>
      </c>
      <c r="D19" s="62"/>
      <c r="E19" s="35" t="s">
        <v>16</v>
      </c>
      <c r="F19" s="35" t="s">
        <v>55</v>
      </c>
      <c r="G19" s="36">
        <v>59</v>
      </c>
      <c r="H19" s="36">
        <f>A19*G19</f>
        <v>59</v>
      </c>
      <c r="K19" s="5"/>
    </row>
    <row r="20" spans="1:11" ht="15">
      <c r="A20" s="4">
        <f>C8*2/C9+2</f>
        <v>14</v>
      </c>
      <c r="B20" s="4" t="s">
        <v>13</v>
      </c>
      <c r="C20" s="59"/>
      <c r="D20" s="60"/>
      <c r="E20" s="10" t="s">
        <v>18</v>
      </c>
      <c r="F20" s="10" t="s">
        <v>7</v>
      </c>
      <c r="G20" s="11">
        <v>10.47</v>
      </c>
      <c r="H20" s="11">
        <f>A20*G20</f>
        <v>146.58</v>
      </c>
      <c r="I20" s="5" t="s">
        <v>19</v>
      </c>
      <c r="K20" s="9"/>
    </row>
    <row r="21" spans="1:11" ht="15">
      <c r="A21" s="4">
        <f>ROUNDUP(C8/10,0)</f>
        <v>3</v>
      </c>
      <c r="B21" s="4" t="s">
        <v>13</v>
      </c>
      <c r="C21" s="59"/>
      <c r="D21" s="60"/>
      <c r="E21" s="10" t="s">
        <v>18</v>
      </c>
      <c r="F21" s="10" t="s">
        <v>10</v>
      </c>
      <c r="G21" s="11">
        <v>10.47</v>
      </c>
      <c r="H21" s="11">
        <f>A21*G21</f>
        <v>31.410000000000004</v>
      </c>
      <c r="I21" s="5" t="s">
        <v>19</v>
      </c>
      <c r="K21" s="5"/>
    </row>
    <row r="22" spans="1:11" ht="15">
      <c r="A22" s="4">
        <f>C10*ROUNDUP(C8/10,0)</f>
        <v>0</v>
      </c>
      <c r="B22" s="4" t="s">
        <v>13</v>
      </c>
      <c r="C22" s="59"/>
      <c r="D22" s="60"/>
      <c r="E22" s="10" t="s">
        <v>18</v>
      </c>
      <c r="F22" s="10" t="s">
        <v>36</v>
      </c>
      <c r="G22" s="11">
        <v>10.47</v>
      </c>
      <c r="H22" s="11">
        <f aca="true" t="shared" si="0" ref="H22:H28">A22*G22</f>
        <v>0</v>
      </c>
      <c r="I22" s="5" t="s">
        <v>19</v>
      </c>
      <c r="K22" s="5"/>
    </row>
    <row r="23" spans="1:11" ht="15">
      <c r="A23" s="4">
        <f>2*ROUNDUP(C8/10,0)</f>
        <v>6</v>
      </c>
      <c r="B23" s="4" t="s">
        <v>13</v>
      </c>
      <c r="C23" s="59"/>
      <c r="D23" s="60"/>
      <c r="E23" s="10" t="s">
        <v>18</v>
      </c>
      <c r="F23" s="10" t="s">
        <v>34</v>
      </c>
      <c r="G23" s="11">
        <v>10.47</v>
      </c>
      <c r="H23" s="11">
        <f t="shared" si="0"/>
        <v>62.82000000000001</v>
      </c>
      <c r="I23" s="5" t="s">
        <v>19</v>
      </c>
      <c r="K23" s="5"/>
    </row>
    <row r="24" spans="1:11" ht="15">
      <c r="A24" s="4">
        <v>4</v>
      </c>
      <c r="B24" s="4" t="s">
        <v>13</v>
      </c>
      <c r="C24" s="59"/>
      <c r="D24" s="60"/>
      <c r="E24" s="10" t="s">
        <v>18</v>
      </c>
      <c r="F24" s="10" t="s">
        <v>38</v>
      </c>
      <c r="G24" s="11">
        <v>10.47</v>
      </c>
      <c r="H24" s="11">
        <f t="shared" si="0"/>
        <v>41.88</v>
      </c>
      <c r="I24" s="5" t="s">
        <v>19</v>
      </c>
      <c r="K24" s="5"/>
    </row>
    <row r="25" spans="1:11" ht="15">
      <c r="A25" s="4">
        <f>(C15-2)/2</f>
        <v>2.5</v>
      </c>
      <c r="B25" s="4" t="s">
        <v>13</v>
      </c>
      <c r="C25" s="59"/>
      <c r="D25" s="60"/>
      <c r="E25" s="10" t="s">
        <v>18</v>
      </c>
      <c r="F25" s="10" t="s">
        <v>49</v>
      </c>
      <c r="G25" s="11">
        <v>3.43</v>
      </c>
      <c r="H25" s="11">
        <f t="shared" si="0"/>
        <v>8.575000000000001</v>
      </c>
      <c r="I25" s="5" t="s">
        <v>19</v>
      </c>
      <c r="K25" s="5"/>
    </row>
    <row r="26" spans="1:11" ht="15">
      <c r="A26" s="4">
        <v>2</v>
      </c>
      <c r="B26" s="4" t="s">
        <v>13</v>
      </c>
      <c r="C26" s="59"/>
      <c r="D26" s="60"/>
      <c r="E26" s="10" t="s">
        <v>18</v>
      </c>
      <c r="F26" s="10" t="s">
        <v>50</v>
      </c>
      <c r="G26" s="11">
        <v>3.43</v>
      </c>
      <c r="H26" s="11">
        <f t="shared" si="0"/>
        <v>6.86</v>
      </c>
      <c r="I26" s="5" t="s">
        <v>19</v>
      </c>
      <c r="K26" s="5"/>
    </row>
    <row r="27" spans="1:11" ht="15">
      <c r="A27" s="4">
        <f>ROUNDUP(((C8*C11*2/10)+2*C11-2),0)</f>
        <v>12</v>
      </c>
      <c r="B27" s="4" t="s">
        <v>13</v>
      </c>
      <c r="C27" s="59"/>
      <c r="D27" s="60"/>
      <c r="E27" s="10" t="s">
        <v>18</v>
      </c>
      <c r="F27" s="10" t="s">
        <v>35</v>
      </c>
      <c r="G27" s="11">
        <v>10.47</v>
      </c>
      <c r="H27" s="11">
        <f t="shared" si="0"/>
        <v>125.64000000000001</v>
      </c>
      <c r="I27" s="5" t="s">
        <v>19</v>
      </c>
      <c r="K27" s="5"/>
    </row>
    <row r="28" spans="1:11" ht="15">
      <c r="A28" s="34">
        <f>ROUNDUP((C12*2)/250,0)</f>
        <v>1</v>
      </c>
      <c r="B28" s="34" t="s">
        <v>13</v>
      </c>
      <c r="C28" s="61">
        <v>9724</v>
      </c>
      <c r="D28" s="62"/>
      <c r="E28" s="35" t="s">
        <v>16</v>
      </c>
      <c r="F28" s="35" t="s">
        <v>61</v>
      </c>
      <c r="G28" s="36">
        <v>163</v>
      </c>
      <c r="H28" s="36">
        <f t="shared" si="0"/>
        <v>163</v>
      </c>
      <c r="K28" s="5"/>
    </row>
    <row r="29" spans="1:11" ht="15">
      <c r="A29" s="34">
        <f>ROUNDUP((3*C15+C10*C15)/2,0)</f>
        <v>11</v>
      </c>
      <c r="B29" s="34" t="s">
        <v>13</v>
      </c>
      <c r="C29" s="61">
        <v>9542</v>
      </c>
      <c r="D29" s="62"/>
      <c r="E29" s="35" t="s">
        <v>16</v>
      </c>
      <c r="F29" s="35" t="s">
        <v>17</v>
      </c>
      <c r="G29" s="36">
        <v>5.1</v>
      </c>
      <c r="H29" s="36">
        <f aca="true" t="shared" si="1" ref="H29:H40">A29*G29</f>
        <v>56.099999999999994</v>
      </c>
      <c r="K29" s="5"/>
    </row>
    <row r="30" spans="1:11" ht="15">
      <c r="A30" s="4">
        <f>2*(A25*2+A24*2+A26)</f>
        <v>30</v>
      </c>
      <c r="B30" s="4" t="s">
        <v>13</v>
      </c>
      <c r="C30" s="59"/>
      <c r="D30" s="60"/>
      <c r="E30" s="28" t="s">
        <v>18</v>
      </c>
      <c r="F30" s="10" t="s">
        <v>53</v>
      </c>
      <c r="G30" s="11">
        <v>0.74</v>
      </c>
      <c r="H30" s="11">
        <f t="shared" si="1"/>
        <v>22.2</v>
      </c>
      <c r="I30" s="5" t="s">
        <v>19</v>
      </c>
      <c r="K30" s="5"/>
    </row>
    <row r="31" spans="1:11" ht="15">
      <c r="A31" s="4">
        <f>A30</f>
        <v>30</v>
      </c>
      <c r="B31" s="27" t="s">
        <v>13</v>
      </c>
      <c r="C31" s="51">
        <v>2750</v>
      </c>
      <c r="D31" s="52"/>
      <c r="E31" s="29" t="s">
        <v>20</v>
      </c>
      <c r="F31" s="28" t="s">
        <v>56</v>
      </c>
      <c r="G31" s="11">
        <v>0.07</v>
      </c>
      <c r="H31" s="11">
        <f>A31*G31</f>
        <v>2.1</v>
      </c>
      <c r="I31" s="5" t="s">
        <v>19</v>
      </c>
      <c r="K31" s="5"/>
    </row>
    <row r="32" spans="1:11" ht="15">
      <c r="A32" s="4">
        <f>A31</f>
        <v>30</v>
      </c>
      <c r="B32" s="27" t="s">
        <v>13</v>
      </c>
      <c r="C32" s="51">
        <v>2648</v>
      </c>
      <c r="D32" s="52"/>
      <c r="E32" s="29" t="s">
        <v>20</v>
      </c>
      <c r="F32" s="28" t="s">
        <v>57</v>
      </c>
      <c r="G32" s="11">
        <v>0.05</v>
      </c>
      <c r="H32" s="11">
        <f>A32*G32</f>
        <v>1.5</v>
      </c>
      <c r="I32" s="5" t="s">
        <v>19</v>
      </c>
      <c r="K32" s="5"/>
    </row>
    <row r="33" spans="1:11" ht="15">
      <c r="A33" s="4">
        <f>ROUNDUP((2*C15+4*16+3*(A21-1)+(A22-2))/100,0)</f>
        <v>1</v>
      </c>
      <c r="B33" s="27" t="s">
        <v>13</v>
      </c>
      <c r="C33" s="51">
        <v>2396</v>
      </c>
      <c r="D33" s="52"/>
      <c r="E33" s="29" t="s">
        <v>20</v>
      </c>
      <c r="F33" s="28" t="s">
        <v>40</v>
      </c>
      <c r="G33" s="11">
        <v>2.94</v>
      </c>
      <c r="H33" s="11">
        <f t="shared" si="1"/>
        <v>2.94</v>
      </c>
      <c r="I33" s="5" t="s">
        <v>19</v>
      </c>
      <c r="K33" s="5"/>
    </row>
    <row r="34" spans="1:11" ht="15">
      <c r="A34" s="4">
        <f>C15*2</f>
        <v>14</v>
      </c>
      <c r="B34" s="27" t="s">
        <v>13</v>
      </c>
      <c r="C34" s="51">
        <v>12528</v>
      </c>
      <c r="D34" s="52"/>
      <c r="E34" s="29" t="s">
        <v>20</v>
      </c>
      <c r="F34" s="28" t="s">
        <v>41</v>
      </c>
      <c r="G34" s="11">
        <v>1.2</v>
      </c>
      <c r="H34" s="11">
        <f t="shared" si="1"/>
        <v>16.8</v>
      </c>
      <c r="I34" s="5" t="s">
        <v>19</v>
      </c>
      <c r="K34" s="5"/>
    </row>
    <row r="35" spans="1:11" ht="15">
      <c r="A35" s="4">
        <f>A34</f>
        <v>14</v>
      </c>
      <c r="B35" s="27" t="s">
        <v>13</v>
      </c>
      <c r="C35" s="51">
        <v>2649</v>
      </c>
      <c r="D35" s="52"/>
      <c r="E35" s="29" t="s">
        <v>20</v>
      </c>
      <c r="F35" s="28" t="s">
        <v>42</v>
      </c>
      <c r="G35" s="11">
        <v>0.05</v>
      </c>
      <c r="H35" s="11">
        <f t="shared" si="1"/>
        <v>0.7000000000000001</v>
      </c>
      <c r="I35" s="5" t="s">
        <v>19</v>
      </c>
      <c r="K35" s="5"/>
    </row>
    <row r="36" spans="1:11" ht="15">
      <c r="A36" s="4">
        <f>A34+A35</f>
        <v>28</v>
      </c>
      <c r="B36" s="27" t="s">
        <v>13</v>
      </c>
      <c r="C36" s="51">
        <v>3025</v>
      </c>
      <c r="D36" s="52"/>
      <c r="E36" s="29" t="s">
        <v>20</v>
      </c>
      <c r="F36" s="28" t="s">
        <v>43</v>
      </c>
      <c r="G36" s="11">
        <v>0.05</v>
      </c>
      <c r="H36" s="11">
        <f t="shared" si="1"/>
        <v>1.4000000000000001</v>
      </c>
      <c r="I36" s="5" t="s">
        <v>19</v>
      </c>
      <c r="K36" s="5"/>
    </row>
    <row r="37" spans="1:11" ht="15">
      <c r="A37" s="4">
        <f>2*(ROUNDUP(C15/2,0))</f>
        <v>8</v>
      </c>
      <c r="B37" s="27" t="s">
        <v>13</v>
      </c>
      <c r="C37" s="51">
        <v>12492</v>
      </c>
      <c r="D37" s="52"/>
      <c r="E37" s="29" t="s">
        <v>20</v>
      </c>
      <c r="F37" s="28" t="s">
        <v>44</v>
      </c>
      <c r="G37" s="11">
        <v>1.84</v>
      </c>
      <c r="H37" s="11">
        <f t="shared" si="1"/>
        <v>14.72</v>
      </c>
      <c r="I37" s="5" t="s">
        <v>19</v>
      </c>
      <c r="K37" s="5"/>
    </row>
    <row r="38" spans="1:11" ht="15">
      <c r="A38" s="34">
        <f>2*ROUNDUP(C15/2,0)</f>
        <v>8</v>
      </c>
      <c r="B38" s="34" t="s">
        <v>13</v>
      </c>
      <c r="C38" s="61">
        <v>7019</v>
      </c>
      <c r="D38" s="62"/>
      <c r="E38" s="35" t="s">
        <v>16</v>
      </c>
      <c r="F38" s="35" t="s">
        <v>33</v>
      </c>
      <c r="G38" s="36">
        <v>13.5</v>
      </c>
      <c r="H38" s="36">
        <f>A38*G38</f>
        <v>108</v>
      </c>
      <c r="K38" s="46"/>
    </row>
    <row r="39" spans="1:9" ht="15">
      <c r="A39" s="4">
        <f>4*C11</f>
        <v>8</v>
      </c>
      <c r="B39" s="4" t="s">
        <v>13</v>
      </c>
      <c r="C39" s="59"/>
      <c r="D39" s="60"/>
      <c r="E39" s="30" t="s">
        <v>18</v>
      </c>
      <c r="F39" s="10" t="s">
        <v>37</v>
      </c>
      <c r="G39" s="11">
        <v>4.45</v>
      </c>
      <c r="H39" s="11">
        <f t="shared" si="1"/>
        <v>35.6</v>
      </c>
      <c r="I39" s="5" t="s">
        <v>19</v>
      </c>
    </row>
    <row r="40" spans="1:9" ht="15">
      <c r="A40" s="4">
        <f>A37</f>
        <v>8</v>
      </c>
      <c r="B40" s="4" t="s">
        <v>13</v>
      </c>
      <c r="C40" s="59"/>
      <c r="D40" s="60"/>
      <c r="E40" s="30" t="s">
        <v>18</v>
      </c>
      <c r="F40" s="10" t="s">
        <v>51</v>
      </c>
      <c r="G40" s="11">
        <v>4.45</v>
      </c>
      <c r="H40" s="11">
        <f t="shared" si="1"/>
        <v>35.6</v>
      </c>
      <c r="I40" s="5" t="s">
        <v>19</v>
      </c>
    </row>
    <row r="41" spans="1:8" ht="15">
      <c r="A41" s="34">
        <v>1</v>
      </c>
      <c r="B41" s="34" t="s">
        <v>13</v>
      </c>
      <c r="C41" s="61">
        <f>IF(C8&lt;51,9630,IF(C8&lt;101,9644,""))</f>
        <v>9630</v>
      </c>
      <c r="D41" s="62"/>
      <c r="E41" s="35" t="str">
        <f>IF(C41=9630,"Johnny's Selected Seeds",IF(C41=9644,"Johnny's Selected Seeds","Online Sources"))</f>
        <v>Johnny's Selected Seeds</v>
      </c>
      <c r="F41" s="37" t="str">
        <f>IF(C41=9630,"Tufflite IV Greenhouse Film, 20 x 65 ft.",IF(C41=9644,"Tufflite IV Greenhouse Film, 20 x 125 ft.",""))</f>
        <v>Tufflite IV Greenhouse Film, 20 x 65 ft.</v>
      </c>
      <c r="G41" s="38" t="str">
        <f>IF(C41=9630,"$149.00",IF(C41=9644,"$286.00",""))</f>
        <v>$149.00</v>
      </c>
      <c r="H41" s="36">
        <f>IF(G41="","",A41*G41)</f>
        <v>149</v>
      </c>
    </row>
    <row r="42" spans="1:11" ht="15">
      <c r="A42" s="4">
        <f>IF(C16&lt;1000,1,IF(C16&lt;2000,2,IF(C16&lt;3000,3,IF(C16&lt;4000,4,IF(C16&lt;5000,5,IF(C16&lt;6000,6,IF(C16&lt;7000,7,IF(C16&lt;8000,8,""))))))))</f>
        <v>1</v>
      </c>
      <c r="B42" s="27" t="s">
        <v>13</v>
      </c>
      <c r="C42" s="66"/>
      <c r="D42" s="67"/>
      <c r="E42" s="29" t="s">
        <v>22</v>
      </c>
      <c r="F42" s="28" t="s">
        <v>23</v>
      </c>
      <c r="G42" s="11">
        <v>38.95</v>
      </c>
      <c r="H42" s="11">
        <f>A42*G42</f>
        <v>38.95</v>
      </c>
      <c r="I42" s="5" t="s">
        <v>19</v>
      </c>
      <c r="K42" s="5"/>
    </row>
    <row r="43" spans="1:8" ht="18.75" customHeight="1">
      <c r="A43" s="40" t="s">
        <v>21</v>
      </c>
      <c r="D43" s="7"/>
      <c r="E43" s="7"/>
      <c r="F43" s="7"/>
      <c r="G43" s="14" t="s">
        <v>5</v>
      </c>
      <c r="H43" s="15">
        <f>SUM(H19:H42)</f>
        <v>1131.3750000000002</v>
      </c>
    </row>
    <row r="44" spans="1:8" ht="15" customHeight="1">
      <c r="A44" s="40" t="s">
        <v>39</v>
      </c>
      <c r="D44" s="7"/>
      <c r="E44" s="7"/>
      <c r="F44" s="7"/>
      <c r="G44" s="8"/>
      <c r="H44" s="8"/>
    </row>
    <row r="45" spans="1:8" ht="15">
      <c r="A45" s="1" t="s">
        <v>28</v>
      </c>
      <c r="F45" s="7"/>
      <c r="G45" s="5"/>
      <c r="H45" s="5"/>
    </row>
    <row r="46" spans="1:8" ht="15">
      <c r="A46" s="1" t="s">
        <v>29</v>
      </c>
      <c r="F46" s="7"/>
      <c r="G46" s="8"/>
      <c r="H46" s="8"/>
    </row>
    <row r="47" spans="6:8" ht="15">
      <c r="F47" s="7"/>
      <c r="G47" s="8"/>
      <c r="H47" s="8"/>
    </row>
    <row r="48" spans="6:8" ht="15">
      <c r="F48" s="7"/>
      <c r="G48" s="8"/>
      <c r="H48" s="8"/>
    </row>
    <row r="49" spans="6:8" ht="15">
      <c r="F49" s="7"/>
      <c r="G49" s="8"/>
      <c r="H49" s="8"/>
    </row>
    <row r="50" spans="6:8" ht="15">
      <c r="F50" s="7"/>
      <c r="G50" s="8"/>
      <c r="H50" s="8"/>
    </row>
    <row r="51" spans="6:8" ht="15">
      <c r="F51" s="7"/>
      <c r="G51" s="8"/>
      <c r="H51" s="8"/>
    </row>
    <row r="52" spans="4:8" ht="15">
      <c r="D52" s="7"/>
      <c r="E52" s="7"/>
      <c r="F52" s="7"/>
      <c r="G52" s="8"/>
      <c r="H52" s="8"/>
    </row>
    <row r="53" spans="4:8" ht="15">
      <c r="D53" s="7"/>
      <c r="E53" s="7"/>
      <c r="F53" s="7"/>
      <c r="G53" s="8"/>
      <c r="H53" s="8"/>
    </row>
    <row r="54" spans="4:8" ht="15">
      <c r="D54" s="7"/>
      <c r="E54" s="7"/>
      <c r="F54" s="7"/>
      <c r="G54" s="8"/>
      <c r="H54" s="8"/>
    </row>
  </sheetData>
  <sheetProtection/>
  <mergeCells count="37">
    <mergeCell ref="C39:D39"/>
    <mergeCell ref="C40:D40"/>
    <mergeCell ref="C38:D38"/>
    <mergeCell ref="C41:D41"/>
    <mergeCell ref="C42:D42"/>
    <mergeCell ref="C30:D30"/>
    <mergeCell ref="C33:D33"/>
    <mergeCell ref="C34:D34"/>
    <mergeCell ref="C35:D35"/>
    <mergeCell ref="C37:D37"/>
    <mergeCell ref="C29:D29"/>
    <mergeCell ref="C28:D28"/>
    <mergeCell ref="A13:B13"/>
    <mergeCell ref="A14:B14"/>
    <mergeCell ref="C14:D14"/>
    <mergeCell ref="A15:B15"/>
    <mergeCell ref="C18:D18"/>
    <mergeCell ref="C36:D36"/>
    <mergeCell ref="C24:D24"/>
    <mergeCell ref="C19:D19"/>
    <mergeCell ref="C20:D20"/>
    <mergeCell ref="C21:D21"/>
    <mergeCell ref="C22:D22"/>
    <mergeCell ref="C23:D23"/>
    <mergeCell ref="C25:D25"/>
    <mergeCell ref="C26:D26"/>
    <mergeCell ref="C27:D27"/>
    <mergeCell ref="A10:B10"/>
    <mergeCell ref="A11:B11"/>
    <mergeCell ref="C31:D31"/>
    <mergeCell ref="C32:D32"/>
    <mergeCell ref="A2:H2"/>
    <mergeCell ref="A4:H4"/>
    <mergeCell ref="A5:H5"/>
    <mergeCell ref="A7:D7"/>
    <mergeCell ref="A8:B8"/>
    <mergeCell ref="A9:B9"/>
  </mergeCells>
  <hyperlinks>
    <hyperlink ref="E33" r:id="rId1" display="www.boltdepot.com"/>
    <hyperlink ref="C33:D33" r:id="rId2" display="http://www.boltdepot.com/product.aspx?cc=11&amp;cs=50&amp;cm=7&amp;cd=570"/>
    <hyperlink ref="C35:D35" r:id="rId3" display="http://www.boltdepot.com/product.aspx?cc=7&amp;cs=9&amp;cm=7"/>
    <hyperlink ref="C34:D34" r:id="rId4" display="http://www.boltdepot.com/product.aspx?cc=47&amp;cm=7&amp;cd=49"/>
    <hyperlink ref="C36:D36" r:id="rId5" display="http://www.boltdepot.com/product.aspx?cc=12&amp;cs=65&amp;cm=7"/>
    <hyperlink ref="E34" r:id="rId6" display="www.boltdepot.com"/>
    <hyperlink ref="E35" r:id="rId7" display="www.boltdepot.com"/>
    <hyperlink ref="E36" r:id="rId8" display="www.boltdepot.com"/>
    <hyperlink ref="E42" r:id="rId9" display="www.parachute-cord.com"/>
    <hyperlink ref="C37:D37" r:id="rId10" display="http://www.boltdepot.com/product.aspx?cc=12&amp;cs=65&amp;cm=7"/>
    <hyperlink ref="E37" r:id="rId11" display="www.boltdepot.com"/>
    <hyperlink ref="E31" r:id="rId12" display="www.boltdepot.com"/>
    <hyperlink ref="E32" r:id="rId13" display="www.boltdepot.com"/>
  </hyperlinks>
  <printOptions horizontalCentered="1" verticalCentered="1"/>
  <pageMargins left="0.7" right="0.7" top="0.5" bottom="0.5" header="0.3" footer="0.3"/>
  <pageSetup fitToHeight="1" fitToWidth="1" horizontalDpi="600" verticalDpi="600" orientation="landscape" scale="83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2013-05-03T21:40:05Z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